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R24" i="1"/>
  <c r="R25" s="1"/>
  <c r="E24"/>
  <c r="R22"/>
  <c r="H22"/>
  <c r="G22"/>
  <c r="F22"/>
  <c r="E22"/>
  <c r="I22" s="1"/>
  <c r="R20"/>
  <c r="K20"/>
  <c r="G20"/>
  <c r="E20"/>
  <c r="O20" s="1"/>
  <c r="R18"/>
  <c r="P18"/>
  <c r="N18"/>
  <c r="L18"/>
  <c r="J18"/>
  <c r="H18"/>
  <c r="F18"/>
  <c r="E18"/>
  <c r="M18" s="1"/>
  <c r="R16"/>
  <c r="P16"/>
  <c r="O16"/>
  <c r="N16"/>
  <c r="M16"/>
  <c r="J16"/>
  <c r="I16"/>
  <c r="H16"/>
  <c r="G16"/>
  <c r="F16"/>
  <c r="D14"/>
  <c r="R13"/>
  <c r="E13"/>
  <c r="P13" s="1"/>
  <c r="R12"/>
  <c r="E12"/>
  <c r="P12" s="1"/>
  <c r="R11"/>
  <c r="R14" s="1"/>
  <c r="E11"/>
  <c r="N11" s="1"/>
  <c r="K9"/>
  <c r="R8"/>
  <c r="E8"/>
  <c r="O8" s="1"/>
  <c r="R7"/>
  <c r="E7"/>
  <c r="N7" s="1"/>
  <c r="R6"/>
  <c r="R9" s="1"/>
  <c r="E6"/>
  <c r="M6" s="1"/>
  <c r="N14" l="1"/>
  <c r="H6"/>
  <c r="L6"/>
  <c r="P6"/>
  <c r="G7"/>
  <c r="M7"/>
  <c r="H8"/>
  <c r="N8"/>
  <c r="N9" s="1"/>
  <c r="I11"/>
  <c r="M11"/>
  <c r="M12"/>
  <c r="F13"/>
  <c r="J13"/>
  <c r="O13"/>
  <c r="G18"/>
  <c r="K18"/>
  <c r="O18"/>
  <c r="F20"/>
  <c r="J20"/>
  <c r="N20"/>
  <c r="G6"/>
  <c r="K6"/>
  <c r="O6"/>
  <c r="F7"/>
  <c r="J7"/>
  <c r="J9" s="1"/>
  <c r="P7"/>
  <c r="G8"/>
  <c r="M8"/>
  <c r="H11"/>
  <c r="L11"/>
  <c r="P11"/>
  <c r="P14" s="1"/>
  <c r="I12"/>
  <c r="I13"/>
  <c r="N13"/>
  <c r="I20"/>
  <c r="M20"/>
  <c r="F6"/>
  <c r="J6"/>
  <c r="N6"/>
  <c r="I7"/>
  <c r="O7"/>
  <c r="O9" s="1"/>
  <c r="F8"/>
  <c r="L8"/>
  <c r="L9" s="1"/>
  <c r="P8"/>
  <c r="G11"/>
  <c r="G14" s="1"/>
  <c r="K11"/>
  <c r="K14" s="1"/>
  <c r="O11"/>
  <c r="O14" s="1"/>
  <c r="H12"/>
  <c r="H13"/>
  <c r="M13"/>
  <c r="I18"/>
  <c r="H20"/>
  <c r="L20"/>
  <c r="P20"/>
  <c r="I6"/>
  <c r="H7"/>
  <c r="I8"/>
  <c r="F11"/>
  <c r="F14" s="1"/>
  <c r="J11"/>
  <c r="J14" s="1"/>
  <c r="G13"/>
  <c r="L13"/>
  <c r="H9" l="1"/>
  <c r="I9"/>
  <c r="F9"/>
  <c r="H14"/>
  <c r="I14"/>
  <c r="G9"/>
  <c r="L14"/>
  <c r="P9"/>
  <c r="M14"/>
  <c r="M9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<sst xmlns="http://schemas.openxmlformats.org/spreadsheetml/2006/main" count="44" uniqueCount="37">
  <si>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</si>
  <si>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</si>
  <si>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</si>
  <si>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</si>
  <si>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</si>
  <si>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</si>
  <si>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</si>
  <si>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</si>
  <si>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</si>
  <si>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</si>
  <si>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</si>
  <si>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</si>
  <si>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</si>
  <si>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</si>
  <si>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</si>
  <si>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</si>
  <si>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</si>
  <si>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</si>
  <si>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</si>
  <si>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</si>
  <si>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</si>
  <si>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</si>
  <si>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3.хлеб</t>
  </si>
  <si>
    <t>сахар</t>
  </si>
  <si>
    <t>всего грамм</t>
  </si>
  <si>
    <t xml:space="preserve">1.каша рисовая молочная </t>
  </si>
  <si>
    <t>молоко</t>
  </si>
  <si>
    <t>рис</t>
  </si>
  <si>
    <t xml:space="preserve">     2.какао с молоком</t>
  </si>
  <si>
    <t>какао</t>
  </si>
  <si>
    <t>4.яйцо</t>
  </si>
  <si>
    <t>5.печенье</t>
  </si>
  <si>
    <t>6.бананы</t>
  </si>
  <si>
    <t>7.соль</t>
  </si>
  <si>
    <t>соль</t>
  </si>
  <si>
    <t>14.01.2023г.</t>
  </si>
  <si>
    <t>МБОУ "Сутбукская СОШ"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</si>
</sst>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8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164" fontId="9" fillId="0" borderId="1" xfId="0" applyNumberFormat="1" applyFont="1" applyBorder="1"/>
    <xf numFmtId="2" fontId="11" fillId="0" borderId="1" xfId="0" applyNumberFormat="1" applyFont="1" applyBorder="1"/>
    <xf numFmtId="0" fontId="2" fillId="2" borderId="2" xfId="0" applyFont="1" applyFill="1" applyBorder="1" applyAlignment="1"/>
    <xf numFmtId="0" fontId="7" fillId="0" borderId="1" xfId="0" applyFont="1" applyBorder="1"/>
    <xf numFmtId="1" fontId="7" fillId="0" borderId="0" xfId="0" applyNumberFormat="1" applyFont="1"/>
    <xf numFmtId="2" fontId="10" fillId="0" borderId="1" xfId="0" applyNumberFormat="1" applyFont="1" applyBorder="1"/>
    <xf numFmtId="1" fontId="10" fillId="0" borderId="0" xfId="0" applyNumberFormat="1" applyFont="1" applyBorder="1"/>
    <xf numFmtId="2" fontId="11" fillId="0" borderId="0" xfId="0" applyNumberFormat="1" applyFont="1" applyBorder="1"/>
    <xf numFmtId="2" fontId="11" fillId="0" borderId="0" xfId="0" applyNumberFormat="1" applyFont="1"/>
    <xf numFmtId="14" fontId="14" fillId="0" borderId="2" xfId="1" applyNumberFormat="1" applyFont="1" applyFill="1" applyBorder="1" applyAlignment="1" applyProtection="1">
      <alignment horizontal="left" vertical="top" wrapText="1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top" wrapText="1"/>
    </xf>
    <xf numFmtId="0" fontId="6" fillId="0" borderId="4" xfId="1" applyNumberFormat="1" applyFont="1" applyFill="1" applyBorder="1" applyAlignment="1" applyProtection="1">
      <alignment horizontal="center" vertical="top" wrapText="1"/>
    </xf>
    <xf numFmtId="0" fontId="6" fillId="0" borderId="5" xfId="1" applyNumberFormat="1" applyFont="1" applyFill="1" applyBorder="1" applyAlignment="1" applyProtection="1">
      <alignment horizontal="center" vertical="top" wrapText="1"/>
    </xf>
    <xf numFmtId="2" fontId="15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2" fontId="7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2" fillId="2" borderId="2" xfId="1" applyNumberFormat="1" applyFont="1" applyFill="1" applyBorder="1" applyAlignment="1" applyProtection="1">
      <alignment horizontal="center" vertical="top" wrapText="1"/>
    </xf>
    <xf numFmtId="0" fontId="12" fillId="2" borderId="7" xfId="1" applyNumberFormat="1" applyFont="1" applyFill="1" applyBorder="1" applyAlignment="1" applyProtection="1">
      <alignment horizontal="center" vertical="top" wrapText="1"/>
    </xf>
    <xf numFmtId="0" fontId="12" fillId="2" borderId="6" xfId="1" applyNumberFormat="1" applyFont="1" applyFill="1" applyBorder="1" applyAlignment="1" applyProtection="1">
      <alignment horizontal="center" vertical="top" wrapText="1"/>
    </xf>
    <xf numFmtId="0" fontId="13" fillId="2" borderId="2" xfId="1" applyNumberFormat="1" applyFont="1" applyFill="1" applyBorder="1" applyAlignment="1" applyProtection="1">
      <alignment horizontal="center" vertical="top"/>
    </xf>
    <xf numFmtId="0" fontId="13" fillId="2" borderId="7" xfId="1" applyNumberFormat="1" applyFont="1" applyFill="1" applyBorder="1" applyAlignment="1" applyProtection="1">
      <alignment horizontal="center" vertical="top"/>
    </xf>
    <xf numFmtId="0" fontId="13" fillId="2" borderId="6" xfId="1" applyNumberFormat="1" applyFont="1" applyFill="1" applyBorder="1" applyAlignment="1" applyProtection="1">
      <alignment horizontal="center" vertical="top"/>
    </xf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2" borderId="2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tabSelected="1" workbookViewId="0">
      <selection activeCell="B1" sqref="B1"/>
    </sheetView>
  </sheetViews>
  <sheetFormatPr defaultRowHeight="15"/>
  <cols>
    <col min="1" max="1" width="15.28515625" customWidth="1"/>
    <col min="2" max="2" width="12.7109375" customWidth="1"/>
    <col min="3" max="3" width="9.5703125" customWidth="1"/>
    <col min="4" max="4" width="14.140625" customWidth="1"/>
    <col min="10" max="10" width="12" customWidth="1"/>
  </cols>
  <sheetData>
    <row r="1" spans="1:18">
      <c r="A1" s="1" t="s">
        <v>0</v>
      </c>
      <c r="B1" s="1" t="s">
        <v>36</v>
      </c>
      <c r="C1" s="1"/>
      <c r="D1" s="1"/>
      <c r="E1" s="1"/>
      <c r="F1" s="1"/>
      <c r="G1" s="1"/>
      <c r="H1" s="1"/>
      <c r="I1" s="1" t="s">
        <v>1</v>
      </c>
      <c r="J1" s="2" t="s">
        <v>35</v>
      </c>
    </row>
    <row r="2" spans="1:18" ht="18.75" customHeight="1">
      <c r="A2" s="37"/>
      <c r="B2" s="39" t="s">
        <v>5</v>
      </c>
      <c r="C2" s="40" t="s">
        <v>24</v>
      </c>
      <c r="D2" s="43" t="s">
        <v>6</v>
      </c>
      <c r="E2" s="43" t="s">
        <v>7</v>
      </c>
      <c r="F2" s="19" t="s">
        <v>2</v>
      </c>
      <c r="G2" s="19" t="s">
        <v>3</v>
      </c>
      <c r="H2" s="19" t="s">
        <v>4</v>
      </c>
      <c r="I2" s="19" t="s">
        <v>8</v>
      </c>
      <c r="J2" s="33" t="s">
        <v>9</v>
      </c>
      <c r="K2" s="33"/>
      <c r="L2" s="33"/>
      <c r="M2" s="33" t="s">
        <v>10</v>
      </c>
      <c r="N2" s="33"/>
      <c r="O2" s="33"/>
      <c r="P2" s="33"/>
      <c r="Q2" s="51" t="s">
        <v>11</v>
      </c>
      <c r="R2" s="46" t="s">
        <v>12</v>
      </c>
    </row>
    <row r="3" spans="1:18" ht="15" customHeight="1">
      <c r="A3" s="38"/>
      <c r="B3" s="39"/>
      <c r="C3" s="41"/>
      <c r="D3" s="44"/>
      <c r="E3" s="44"/>
      <c r="F3" s="20"/>
      <c r="G3" s="20"/>
      <c r="H3" s="20"/>
      <c r="I3" s="20"/>
      <c r="J3" s="19" t="s">
        <v>13</v>
      </c>
      <c r="K3" s="49" t="s">
        <v>14</v>
      </c>
      <c r="L3" s="19" t="s">
        <v>15</v>
      </c>
      <c r="M3" s="19" t="s">
        <v>16</v>
      </c>
      <c r="N3" s="19" t="s">
        <v>17</v>
      </c>
      <c r="O3" s="19" t="s">
        <v>18</v>
      </c>
      <c r="P3" s="19" t="s">
        <v>19</v>
      </c>
      <c r="Q3" s="52"/>
      <c r="R3" s="47"/>
    </row>
    <row r="4" spans="1:18" ht="20.25">
      <c r="A4" s="11"/>
      <c r="B4" s="18"/>
      <c r="C4" s="42"/>
      <c r="D4" s="45"/>
      <c r="E4" s="45"/>
      <c r="F4" s="21"/>
      <c r="G4" s="21"/>
      <c r="H4" s="21"/>
      <c r="I4" s="21"/>
      <c r="J4" s="21"/>
      <c r="K4" s="50"/>
      <c r="L4" s="21"/>
      <c r="M4" s="21"/>
      <c r="N4" s="21"/>
      <c r="O4" s="21"/>
      <c r="P4" s="21"/>
      <c r="Q4" s="53"/>
      <c r="R4" s="48"/>
    </row>
    <row r="5" spans="1:18" ht="21" customHeight="1">
      <c r="A5" s="12"/>
      <c r="B5" s="22" t="s">
        <v>25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8.75">
      <c r="A6" s="12"/>
      <c r="B6" s="3" t="s">
        <v>26</v>
      </c>
      <c r="C6" s="4">
        <v>60</v>
      </c>
      <c r="D6" s="4">
        <v>0</v>
      </c>
      <c r="E6" s="4">
        <f>C6-D6</f>
        <v>60</v>
      </c>
      <c r="F6" s="4">
        <f>E6*2.8%</f>
        <v>1.6799999999999997</v>
      </c>
      <c r="G6" s="4">
        <f>E6*3.2%</f>
        <v>1.92</v>
      </c>
      <c r="H6" s="4">
        <f>E6*4.7%</f>
        <v>2.82</v>
      </c>
      <c r="I6" s="4">
        <f>E6*58%</f>
        <v>34.799999999999997</v>
      </c>
      <c r="J6" s="4">
        <f>E6*0.04</f>
        <v>2.4</v>
      </c>
      <c r="K6" s="4">
        <f>E6*1.3%</f>
        <v>0.78</v>
      </c>
      <c r="L6" s="4">
        <f>E6*0.01%</f>
        <v>6.0000000000000001E-3</v>
      </c>
      <c r="M6" s="4">
        <f>E6*120%</f>
        <v>72</v>
      </c>
      <c r="N6" s="4">
        <f>E6*90%</f>
        <v>54</v>
      </c>
      <c r="O6" s="4">
        <f>E6*14%</f>
        <v>8.4</v>
      </c>
      <c r="P6" s="4">
        <f>E6*0.06%</f>
        <v>3.5999999999999997E-2</v>
      </c>
      <c r="Q6" s="4">
        <v>110</v>
      </c>
      <c r="R6" s="5">
        <f>C6/1000*110</f>
        <v>6.6</v>
      </c>
    </row>
    <row r="7" spans="1:18" ht="18.75">
      <c r="A7" s="12"/>
      <c r="B7" s="3" t="s">
        <v>27</v>
      </c>
      <c r="C7" s="4">
        <v>46</v>
      </c>
      <c r="D7" s="4">
        <v>0</v>
      </c>
      <c r="E7" s="4">
        <f>SUM(C7:D7)</f>
        <v>46</v>
      </c>
      <c r="F7" s="4">
        <f>E7*7%</f>
        <v>3.22</v>
      </c>
      <c r="G7" s="4">
        <f>E7*1%</f>
        <v>0.46</v>
      </c>
      <c r="H7" s="4">
        <f>E7*71.4%</f>
        <v>32.844000000000001</v>
      </c>
      <c r="I7" s="4">
        <f>E7*330%</f>
        <v>151.79999999999998</v>
      </c>
      <c r="J7" s="4">
        <f>E7*0.08%</f>
        <v>3.6799999999999999E-2</v>
      </c>
      <c r="K7" s="4">
        <v>0</v>
      </c>
      <c r="L7" s="4">
        <v>0</v>
      </c>
      <c r="M7" s="4">
        <f>E7*8%</f>
        <v>3.68</v>
      </c>
      <c r="N7" s="4">
        <f>E7*150%</f>
        <v>69</v>
      </c>
      <c r="O7" s="4">
        <f>E7*50%</f>
        <v>23</v>
      </c>
      <c r="P7" s="4">
        <f>E7*1%</f>
        <v>0.46</v>
      </c>
      <c r="Q7" s="4">
        <v>75</v>
      </c>
      <c r="R7" s="4">
        <f>C7/1000*75</f>
        <v>3.4499999999999997</v>
      </c>
    </row>
    <row r="8" spans="1:18" ht="18.75">
      <c r="A8" s="12"/>
      <c r="B8" s="3" t="s">
        <v>20</v>
      </c>
      <c r="C8" s="4">
        <v>15</v>
      </c>
      <c r="D8" s="4">
        <v>0</v>
      </c>
      <c r="E8" s="4">
        <f>C8-D8</f>
        <v>15</v>
      </c>
      <c r="F8" s="4">
        <f>E8*0.5%</f>
        <v>7.4999999999999997E-2</v>
      </c>
      <c r="G8" s="4">
        <f>E8*82.5%</f>
        <v>12.375</v>
      </c>
      <c r="H8" s="4">
        <f>E8*0.8%</f>
        <v>0.12</v>
      </c>
      <c r="I8" s="4">
        <f>E8*748%</f>
        <v>112.2</v>
      </c>
      <c r="J8" s="4">
        <v>0</v>
      </c>
      <c r="K8" s="4">
        <v>0</v>
      </c>
      <c r="L8" s="4">
        <f>E8*0.59%</f>
        <v>8.8499999999999995E-2</v>
      </c>
      <c r="M8" s="4">
        <f>E8*12%</f>
        <v>1.7999999999999998</v>
      </c>
      <c r="N8" s="4">
        <f>E8*19%</f>
        <v>2.85</v>
      </c>
      <c r="O8" s="4">
        <f>E8*0.4%</f>
        <v>0.06</v>
      </c>
      <c r="P8" s="4">
        <f>E8*0.2%</f>
        <v>0.03</v>
      </c>
      <c r="Q8" s="4">
        <v>480</v>
      </c>
      <c r="R8" s="5">
        <f>C8/1000*480</f>
        <v>7.1999999999999993</v>
      </c>
    </row>
    <row r="9" spans="1:18" ht="18.75">
      <c r="A9" s="12"/>
      <c r="B9" s="12" t="s">
        <v>21</v>
      </c>
      <c r="C9" s="6">
        <v>110</v>
      </c>
      <c r="D9" s="6">
        <v>0</v>
      </c>
      <c r="E9" s="6">
        <v>200</v>
      </c>
      <c r="F9" s="6">
        <f t="shared" ref="F9:P9" si="0">SUM(F7:F8)</f>
        <v>3.2950000000000004</v>
      </c>
      <c r="G9" s="6">
        <f t="shared" si="0"/>
        <v>12.835000000000001</v>
      </c>
      <c r="H9" s="6">
        <f t="shared" si="0"/>
        <v>32.963999999999999</v>
      </c>
      <c r="I9" s="6">
        <f t="shared" si="0"/>
        <v>264</v>
      </c>
      <c r="J9" s="6">
        <f t="shared" si="0"/>
        <v>3.6799999999999999E-2</v>
      </c>
      <c r="K9" s="6">
        <f t="shared" si="0"/>
        <v>0</v>
      </c>
      <c r="L9" s="6">
        <f t="shared" si="0"/>
        <v>8.8499999999999995E-2</v>
      </c>
      <c r="M9" s="6">
        <f t="shared" si="0"/>
        <v>5.48</v>
      </c>
      <c r="N9" s="6">
        <f t="shared" si="0"/>
        <v>71.849999999999994</v>
      </c>
      <c r="O9" s="6">
        <f t="shared" si="0"/>
        <v>23.06</v>
      </c>
      <c r="P9" s="6">
        <f t="shared" si="0"/>
        <v>0.49</v>
      </c>
      <c r="Q9" s="6"/>
      <c r="R9" s="6">
        <f>SUM(R6:R8)</f>
        <v>17.25</v>
      </c>
    </row>
    <row r="10" spans="1:18" ht="18.75">
      <c r="A10" s="12"/>
      <c r="B10" s="30" t="s">
        <v>28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2"/>
    </row>
    <row r="11" spans="1:18" ht="18.75">
      <c r="A11" s="12"/>
      <c r="B11" s="3" t="s">
        <v>26</v>
      </c>
      <c r="C11" s="4">
        <v>60</v>
      </c>
      <c r="D11" s="4">
        <v>0</v>
      </c>
      <c r="E11" s="4">
        <f>C11-D11</f>
        <v>60</v>
      </c>
      <c r="F11" s="4">
        <f>E11*2.8%</f>
        <v>1.6799999999999997</v>
      </c>
      <c r="G11" s="4">
        <f>E11*3.2%</f>
        <v>1.92</v>
      </c>
      <c r="H11" s="4">
        <f>E11*4.7%</f>
        <v>2.82</v>
      </c>
      <c r="I11" s="4">
        <f>E11*58%</f>
        <v>34.799999999999997</v>
      </c>
      <c r="J11" s="4">
        <f>E11*0.04</f>
        <v>2.4</v>
      </c>
      <c r="K11" s="4">
        <f>E11*1.3%</f>
        <v>0.78</v>
      </c>
      <c r="L11" s="4">
        <f>E11*0.01%</f>
        <v>6.0000000000000001E-3</v>
      </c>
      <c r="M11" s="4">
        <f>E11*120%</f>
        <v>72</v>
      </c>
      <c r="N11" s="4">
        <f>E11*90%</f>
        <v>54</v>
      </c>
      <c r="O11" s="4">
        <f>E11*14%</f>
        <v>8.4</v>
      </c>
      <c r="P11" s="4">
        <f>E11*0.06%</f>
        <v>3.5999999999999997E-2</v>
      </c>
      <c r="Q11" s="4">
        <v>110</v>
      </c>
      <c r="R11" s="5">
        <f>C11/1000*110</f>
        <v>6.6</v>
      </c>
    </row>
    <row r="12" spans="1:18" ht="18.75">
      <c r="A12" s="12"/>
      <c r="B12" s="4" t="s">
        <v>23</v>
      </c>
      <c r="C12" s="4">
        <v>15</v>
      </c>
      <c r="D12" s="4">
        <v>0</v>
      </c>
      <c r="E12" s="4">
        <f>C12-D12</f>
        <v>15</v>
      </c>
      <c r="F12" s="4">
        <v>0</v>
      </c>
      <c r="G12" s="4">
        <v>0</v>
      </c>
      <c r="H12" s="4">
        <f>E12*99.8%</f>
        <v>14.97</v>
      </c>
      <c r="I12" s="4">
        <f>E12*379%</f>
        <v>56.85</v>
      </c>
      <c r="J12" s="4">
        <v>0</v>
      </c>
      <c r="K12" s="4">
        <v>0</v>
      </c>
      <c r="L12" s="4">
        <v>0</v>
      </c>
      <c r="M12" s="4">
        <f>E12*2%</f>
        <v>0.3</v>
      </c>
      <c r="N12" s="4">
        <v>0</v>
      </c>
      <c r="O12" s="4">
        <v>0</v>
      </c>
      <c r="P12" s="4">
        <f>E12*0.3%</f>
        <v>4.4999999999999998E-2</v>
      </c>
      <c r="Q12" s="4">
        <v>60</v>
      </c>
      <c r="R12" s="4">
        <f>C12/1000*60</f>
        <v>0.89999999999999991</v>
      </c>
    </row>
    <row r="13" spans="1:18" ht="18.75">
      <c r="A13" s="12"/>
      <c r="B13" s="5" t="s">
        <v>29</v>
      </c>
      <c r="C13" s="5">
        <v>1</v>
      </c>
      <c r="D13" s="5">
        <v>0</v>
      </c>
      <c r="E13" s="5">
        <f>C13-D13</f>
        <v>1</v>
      </c>
      <c r="F13" s="5">
        <f>E13*24.2%</f>
        <v>0.24199999999999999</v>
      </c>
      <c r="G13" s="5">
        <f>E13*17.5%</f>
        <v>0.17499999999999999</v>
      </c>
      <c r="H13" s="5">
        <f>E13*27.9%</f>
        <v>0.27899999999999997</v>
      </c>
      <c r="I13" s="5">
        <f>E13*380%</f>
        <v>3.8</v>
      </c>
      <c r="J13" s="5">
        <f>E13*0.1%</f>
        <v>1E-3</v>
      </c>
      <c r="K13" s="5">
        <v>0</v>
      </c>
      <c r="L13" s="5">
        <f>E13*0.02%</f>
        <v>2.0000000000000001E-4</v>
      </c>
      <c r="M13" s="5">
        <f>E13*55%</f>
        <v>0.55000000000000004</v>
      </c>
      <c r="N13" s="5">
        <f>E13*655%</f>
        <v>6.55</v>
      </c>
      <c r="O13" s="5">
        <f>E13*191%</f>
        <v>1.91</v>
      </c>
      <c r="P13" s="5">
        <f>E13*14.8%</f>
        <v>0.14800000000000002</v>
      </c>
      <c r="Q13" s="5">
        <v>850</v>
      </c>
      <c r="R13" s="5">
        <f>C13/1000*850</f>
        <v>0.85</v>
      </c>
    </row>
    <row r="14" spans="1:18" ht="18.75">
      <c r="A14" s="8"/>
      <c r="B14" s="7" t="s">
        <v>21</v>
      </c>
      <c r="C14" s="6">
        <v>115</v>
      </c>
      <c r="D14" s="6">
        <f>SUM(D10:D13)</f>
        <v>0</v>
      </c>
      <c r="E14" s="6">
        <v>150</v>
      </c>
      <c r="F14" s="6">
        <f t="shared" ref="F14:P14" si="1">SUM(F10:F13)</f>
        <v>1.9219999999999997</v>
      </c>
      <c r="G14" s="6">
        <f t="shared" si="1"/>
        <v>2.0949999999999998</v>
      </c>
      <c r="H14" s="6">
        <f t="shared" si="1"/>
        <v>18.068999999999999</v>
      </c>
      <c r="I14" s="6">
        <f t="shared" si="1"/>
        <v>95.45</v>
      </c>
      <c r="J14" s="6">
        <f t="shared" si="1"/>
        <v>2.4009999999999998</v>
      </c>
      <c r="K14" s="6">
        <f t="shared" si="1"/>
        <v>0.78</v>
      </c>
      <c r="L14" s="6">
        <f t="shared" si="1"/>
        <v>6.1999999999999998E-3</v>
      </c>
      <c r="M14" s="6">
        <f t="shared" si="1"/>
        <v>72.849999999999994</v>
      </c>
      <c r="N14" s="6">
        <f t="shared" si="1"/>
        <v>60.55</v>
      </c>
      <c r="O14" s="6">
        <f t="shared" si="1"/>
        <v>10.31</v>
      </c>
      <c r="P14" s="6">
        <f t="shared" si="1"/>
        <v>0.22900000000000001</v>
      </c>
      <c r="Q14" s="6"/>
      <c r="R14" s="6">
        <f>SUM(R11:R13)</f>
        <v>8.35</v>
      </c>
    </row>
    <row r="15" spans="1:18" ht="18.75">
      <c r="A15" s="8"/>
      <c r="B15" s="25" t="s">
        <v>22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7"/>
    </row>
    <row r="16" spans="1:18" ht="18.75">
      <c r="A16" s="8"/>
      <c r="B16" s="7" t="s">
        <v>21</v>
      </c>
      <c r="C16" s="6">
        <v>50</v>
      </c>
      <c r="D16" s="6">
        <v>0</v>
      </c>
      <c r="E16" s="6">
        <v>50</v>
      </c>
      <c r="F16" s="6">
        <f>E16*7.9%</f>
        <v>3.95</v>
      </c>
      <c r="G16" s="6">
        <f>E16*1%</f>
        <v>0.5</v>
      </c>
      <c r="H16" s="6">
        <f>E16*48.1%</f>
        <v>24.05</v>
      </c>
      <c r="I16" s="6">
        <f>E16*239%</f>
        <v>119.5</v>
      </c>
      <c r="J16" s="6">
        <f>E16*0.16%</f>
        <v>0.08</v>
      </c>
      <c r="K16" s="6">
        <v>0</v>
      </c>
      <c r="L16" s="6">
        <v>0</v>
      </c>
      <c r="M16" s="6">
        <f>E16*23%</f>
        <v>11.5</v>
      </c>
      <c r="N16" s="6">
        <f>E16*87%</f>
        <v>43.5</v>
      </c>
      <c r="O16" s="6">
        <f>E16*33%</f>
        <v>16.5</v>
      </c>
      <c r="P16" s="6">
        <f>E16*2%</f>
        <v>1</v>
      </c>
      <c r="Q16" s="6">
        <v>50</v>
      </c>
      <c r="R16" s="6">
        <f>C16/1000*50</f>
        <v>2.5</v>
      </c>
    </row>
    <row r="17" spans="1:18" ht="18.75">
      <c r="A17" s="8"/>
      <c r="B17" s="25" t="s">
        <v>30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9"/>
    </row>
    <row r="18" spans="1:18" ht="18.75">
      <c r="A18" s="13"/>
      <c r="B18" s="7" t="s">
        <v>21</v>
      </c>
      <c r="C18" s="4">
        <v>50</v>
      </c>
      <c r="D18" s="4">
        <v>0</v>
      </c>
      <c r="E18" s="4">
        <f>C18-D18</f>
        <v>50</v>
      </c>
      <c r="F18" s="4">
        <f>E18*12.5%</f>
        <v>6.25</v>
      </c>
      <c r="G18" s="4">
        <f>E18*11.5%</f>
        <v>5.75</v>
      </c>
      <c r="H18" s="4">
        <f>E18*0.7%</f>
        <v>0.35</v>
      </c>
      <c r="I18" s="4">
        <f>E18*157%</f>
        <v>78.5</v>
      </c>
      <c r="J18" s="4">
        <f>E18*0.07%</f>
        <v>3.5000000000000003E-2</v>
      </c>
      <c r="K18" s="4">
        <f>E18*0%</f>
        <v>0</v>
      </c>
      <c r="L18" s="4">
        <f>E18*0.25%</f>
        <v>0.125</v>
      </c>
      <c r="M18" s="4">
        <f>E18*55%</f>
        <v>27.500000000000004</v>
      </c>
      <c r="N18" s="4">
        <f>E18*192%</f>
        <v>96</v>
      </c>
      <c r="O18" s="4">
        <f>E18*12%</f>
        <v>6</v>
      </c>
      <c r="P18" s="4">
        <f>E18*2.5%</f>
        <v>1.25</v>
      </c>
      <c r="Q18" s="4">
        <v>200</v>
      </c>
      <c r="R18" s="6">
        <f>C18/1000*200</f>
        <v>10</v>
      </c>
    </row>
    <row r="19" spans="1:18" ht="18.75">
      <c r="A19" s="8"/>
      <c r="B19" s="25" t="s">
        <v>31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9"/>
    </row>
    <row r="20" spans="1:18" ht="18.75">
      <c r="A20" s="8"/>
      <c r="B20" s="7" t="s">
        <v>21</v>
      </c>
      <c r="C20" s="6">
        <v>40</v>
      </c>
      <c r="D20" s="6">
        <v>0</v>
      </c>
      <c r="E20" s="6">
        <f>C20-D20</f>
        <v>40</v>
      </c>
      <c r="F20" s="4">
        <f>E20*7.5%</f>
        <v>3</v>
      </c>
      <c r="G20" s="4">
        <f>E20*11.8%</f>
        <v>4.7200000000000006</v>
      </c>
      <c r="H20" s="4">
        <f>E20*74.4%</f>
        <v>29.760000000000005</v>
      </c>
      <c r="I20" s="4">
        <f>E20*436%</f>
        <v>174.4</v>
      </c>
      <c r="J20" s="4">
        <f>E20*0.08%</f>
        <v>3.2000000000000001E-2</v>
      </c>
      <c r="K20" s="4">
        <f>E20*0%</f>
        <v>0</v>
      </c>
      <c r="L20" s="4">
        <f>E20*0%</f>
        <v>0</v>
      </c>
      <c r="M20" s="4">
        <f>E20*29%</f>
        <v>11.6</v>
      </c>
      <c r="N20" s="4">
        <f>E20*90%</f>
        <v>36</v>
      </c>
      <c r="O20" s="4">
        <f>E20*20%</f>
        <v>8</v>
      </c>
      <c r="P20" s="4">
        <f>E20*2.1%</f>
        <v>0.84000000000000008</v>
      </c>
      <c r="Q20" s="4">
        <v>160</v>
      </c>
      <c r="R20" s="6">
        <f>C20/1000*160</f>
        <v>6.4</v>
      </c>
    </row>
    <row r="21" spans="1:18" ht="18.75">
      <c r="A21" s="8"/>
      <c r="B21" s="25" t="s">
        <v>32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9"/>
    </row>
    <row r="22" spans="1:18" ht="18.75">
      <c r="A22" s="8"/>
      <c r="B22" s="7" t="s">
        <v>21</v>
      </c>
      <c r="C22" s="6">
        <v>135</v>
      </c>
      <c r="D22" s="6">
        <v>0</v>
      </c>
      <c r="E22" s="6">
        <f>C22-D22</f>
        <v>135</v>
      </c>
      <c r="F22" s="6">
        <f>E22*1.5%</f>
        <v>2.0249999999999999</v>
      </c>
      <c r="G22" s="6">
        <f>E22*0.5%</f>
        <v>0.67500000000000004</v>
      </c>
      <c r="H22" s="6">
        <f>E22*21%</f>
        <v>28.349999999999998</v>
      </c>
      <c r="I22" s="6">
        <f>E22*96%</f>
        <v>129.6</v>
      </c>
      <c r="J22" s="6">
        <v>0</v>
      </c>
      <c r="K22" s="6">
        <v>8.6999999999999993</v>
      </c>
      <c r="L22" s="6">
        <v>3</v>
      </c>
      <c r="M22" s="6">
        <v>5</v>
      </c>
      <c r="N22" s="6">
        <v>22</v>
      </c>
      <c r="O22" s="6">
        <v>27</v>
      </c>
      <c r="P22" s="6">
        <v>0.3</v>
      </c>
      <c r="Q22" s="6">
        <v>122</v>
      </c>
      <c r="R22" s="6">
        <f>C22/1000*122</f>
        <v>16.470000000000002</v>
      </c>
    </row>
    <row r="23" spans="1:18" ht="18.75">
      <c r="A23" s="8"/>
      <c r="B23" s="34" t="s">
        <v>33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1:18" ht="18.75">
      <c r="A24" s="8"/>
      <c r="B24" s="7" t="s">
        <v>34</v>
      </c>
      <c r="C24" s="9">
        <v>3</v>
      </c>
      <c r="D24" s="6">
        <v>0</v>
      </c>
      <c r="E24" s="9">
        <f>C24-D24</f>
        <v>3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20</v>
      </c>
      <c r="R24" s="9">
        <f>C24/1000*20</f>
        <v>0.06</v>
      </c>
    </row>
    <row r="25" spans="1:18" ht="23.25">
      <c r="A25" s="14"/>
      <c r="B25" s="10" t="s">
        <v>21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>
        <f>R24+R22+R20+R18+R16+R14+R9</f>
        <v>61.03</v>
      </c>
    </row>
    <row r="26" spans="1:18" ht="23.2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</row>
  </sheetData>
  <mergeCells count="27">
    <mergeCell ref="B23:R23"/>
    <mergeCell ref="A2:A3"/>
    <mergeCell ref="B2:B3"/>
    <mergeCell ref="C2:C4"/>
    <mergeCell ref="D2:D4"/>
    <mergeCell ref="E2:E4"/>
    <mergeCell ref="B21:R21"/>
    <mergeCell ref="R2:R4"/>
    <mergeCell ref="J3:J4"/>
    <mergeCell ref="K3:K4"/>
    <mergeCell ref="L3:L4"/>
    <mergeCell ref="M3:M4"/>
    <mergeCell ref="N3:N4"/>
    <mergeCell ref="O3:O4"/>
    <mergeCell ref="P3:P4"/>
    <mergeCell ref="Q2:Q4"/>
    <mergeCell ref="F2:F4"/>
    <mergeCell ref="B5:R5"/>
    <mergeCell ref="B15:R15"/>
    <mergeCell ref="B19:R19"/>
    <mergeCell ref="B10:R10"/>
    <mergeCell ref="B17:R17"/>
    <mergeCell ref="G2:G4"/>
    <mergeCell ref="H2:H4"/>
    <mergeCell ref="I2:I4"/>
    <mergeCell ref="J2:L2"/>
    <mergeCell ref="M2:P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2023-01-23T06:52:36Z</dcterms:modified>
</cp:coreProperties>
</file>